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activeTab="0"/>
  </bookViews>
  <sheets>
    <sheet name="Calculator" sheetId="1" r:id="rId1"/>
    <sheet name="Sheet2" sheetId="2" state="hidden" r:id="rId2"/>
    <sheet name="Sheet1" sheetId="3" state="hidden" r:id="rId3"/>
  </sheets>
  <definedNames/>
  <calcPr fullCalcOnLoad="1"/>
</workbook>
</file>

<file path=xl/sharedStrings.xml><?xml version="1.0" encoding="utf-8"?>
<sst xmlns="http://schemas.openxmlformats.org/spreadsheetml/2006/main" count="47" uniqueCount="31">
  <si>
    <t xml:space="preserve">    </t>
  </si>
  <si>
    <t>INDICATIVE PAYOUT SCHEDULE</t>
  </si>
  <si>
    <t>Investment Value</t>
  </si>
  <si>
    <t>Scheme MHP</t>
  </si>
  <si>
    <t>Date of Investment</t>
  </si>
  <si>
    <t>&lt;---- Enter Date of Investment</t>
  </si>
  <si>
    <t>Is it a Renewal</t>
  </si>
  <si>
    <t>No</t>
  </si>
  <si>
    <t>&lt;---- Enter Yes if Renewal</t>
  </si>
  <si>
    <t>XIRR</t>
  </si>
  <si>
    <t>Monthly Payout Model</t>
  </si>
  <si>
    <t>Cashflow to Investor*</t>
  </si>
  <si>
    <t>Reinvestment Model</t>
  </si>
  <si>
    <t>Cumulative Value</t>
  </si>
  <si>
    <t>Absolute Interest</t>
  </si>
  <si>
    <t>Absolute Return</t>
  </si>
  <si>
    <t>XIRR Return (Annualised)</t>
  </si>
  <si>
    <r>
      <rPr>
        <i/>
        <u val="single"/>
        <sz val="8"/>
        <color indexed="23"/>
        <rFont val="Segoe UI"/>
        <family val="2"/>
      </rPr>
      <t>Please note:</t>
    </r>
    <r>
      <rPr>
        <i/>
        <sz val="8"/>
        <color indexed="23"/>
        <rFont val="Segoe UI"/>
        <family val="2"/>
      </rPr>
      <t xml:space="preserve"> Monthly Interest Payouts (If opted for) will be processed on the first working day of the next month in which the interest is accrued.</t>
    </r>
  </si>
  <si>
    <t>Disclaimers:</t>
  </si>
  <si>
    <t>1. Please visit the investor dashboard and website for detailed T&amp;C's. This file is merely for representation purposes.</t>
  </si>
  <si>
    <t>2. Displayed Values are as per the Estimated Portfolio Value (including accrued interest) post fee deduction (if any) as per the applicable fee structure. Portfolio numbers displayed are indicative in nature. Actual returns and payouts might differ.</t>
  </si>
  <si>
    <t>*Interest payout might defer in a case where the tranche investment date and monthly interest payout date are too close for loan allocation to be completed, thus resulting in a temporary lower payout for that month.</t>
  </si>
  <si>
    <t>&lt;---- Enter 0, 3, 6, 12, 24, 36</t>
  </si>
  <si>
    <t>&lt;---- Enter Investment amount (Min. 50k, Max. 50 Lakhs)</t>
  </si>
  <si>
    <t>4. Platform does not provide any guarantee/commitment that the loans listed on the secondary market will be sold at the listed price or within a fixed time-frame or at all.</t>
  </si>
  <si>
    <t>3. Total value accrued in excess of INR. 10L will automatically be paid out on the first working day of every month, as exposure on the platform cannot be greater than INR. 10L per PAN (Unless the investor has provided the CA certified Networth Certificate - the exposure then can be upto 50Lakhs).</t>
  </si>
  <si>
    <t>Regular/D.Adv</t>
  </si>
  <si>
    <t>D.Adv</t>
  </si>
  <si>
    <t>Regular</t>
  </si>
  <si>
    <t>&lt;---- Enter Regular for normal Lock-in, D.Adv for breakable Lock-in</t>
  </si>
  <si>
    <t>Yes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</si>
</sst>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s>
  <fonts count="43">
    <font>
      <sz val="11"/>
      <color theme="1"/>
      <name val="Calibri"/>
      <family val="2"/>
    </font>
    <font>
      <sz val="11"/>
      <color indexed="8"/>
      <name val="Calibri"/>
      <family val="2"/>
    </font>
    <font>
      <i/>
      <u val="single"/>
      <sz val="8"/>
      <color indexed="23"/>
      <name val="Segoe UI"/>
      <family val="2"/>
    </font>
    <font>
      <i/>
      <sz val="8"/>
      <color indexed="23"/>
      <name val="Segoe UI"/>
      <family val="2"/>
    </font>
    <font>
      <sz val="8"/>
      <color indexed="8"/>
      <name val="Segoe UI"/>
      <family val="2"/>
    </font>
    <font>
      <b/>
      <sz val="8"/>
      <color indexed="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Segoe UI"/>
      <family val="2"/>
    </font>
    <font>
      <b/>
      <sz val="8"/>
      <color theme="1"/>
      <name val="Segoe UI"/>
      <family val="2"/>
    </font>
    <font>
      <i/>
      <u val="single"/>
      <sz val="8"/>
      <color theme="1" tint="0.49998000264167786"/>
      <name val="Segoe UI"/>
      <family val="2"/>
    </font>
    <font>
      <i/>
      <sz val="8"/>
      <color theme="1" tint="0.49998000264167786"/>
      <name val="Segoe U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39" fillId="0" borderId="0" xfId="0" applyFont="1" applyAlignment="1">
      <alignment/>
    </xf>
    <xf numFmtId="0" fontId="39" fillId="33" borderId="0" xfId="0" applyFont="1" applyFill="1" applyAlignment="1">
      <alignment/>
    </xf>
    <xf numFmtId="3" fontId="39" fillId="9" borderId="10" xfId="0" applyNumberFormat="1" applyFont="1" applyFill="1" applyBorder="1" applyAlignment="1" applyProtection="1">
      <alignment/>
      <protection locked="0"/>
    </xf>
    <xf numFmtId="3" fontId="39" fillId="0" borderId="0" xfId="0" applyNumberFormat="1" applyFont="1" applyAlignment="1">
      <alignment/>
    </xf>
    <xf numFmtId="164" fontId="39" fillId="0" borderId="0" xfId="42" applyNumberFormat="1" applyFont="1" applyFill="1" applyAlignment="1">
      <alignment/>
    </xf>
    <xf numFmtId="3" fontId="39" fillId="9" borderId="11" xfId="0" applyNumberFormat="1" applyFont="1" applyFill="1" applyBorder="1" applyAlignment="1" applyProtection="1">
      <alignment horizontal="right"/>
      <protection locked="0"/>
    </xf>
    <xf numFmtId="15" fontId="39" fillId="9" borderId="11" xfId="0" applyNumberFormat="1" applyFont="1" applyFill="1" applyBorder="1" applyAlignment="1" applyProtection="1">
      <alignment horizontal="right"/>
      <protection locked="0"/>
    </xf>
    <xf numFmtId="15" fontId="39" fillId="9" borderId="12" xfId="0" applyNumberFormat="1" applyFont="1" applyFill="1" applyBorder="1" applyAlignment="1" applyProtection="1">
      <alignment horizontal="right"/>
      <protection locked="0"/>
    </xf>
    <xf numFmtId="10" fontId="39" fillId="33" borderId="0" xfId="0" applyNumberFormat="1" applyFont="1" applyFill="1" applyAlignment="1">
      <alignment/>
    </xf>
    <xf numFmtId="0" fontId="40" fillId="0" borderId="0" xfId="0" applyFont="1" applyAlignment="1">
      <alignment/>
    </xf>
    <xf numFmtId="0" fontId="40" fillId="33" borderId="0" xfId="0" applyFont="1" applyFill="1" applyAlignment="1">
      <alignment/>
    </xf>
    <xf numFmtId="0" fontId="40" fillId="33" borderId="0" xfId="0" applyFont="1" applyFill="1" applyAlignment="1">
      <alignment horizontal="right"/>
    </xf>
    <xf numFmtId="164" fontId="40" fillId="33" borderId="0" xfId="42" applyNumberFormat="1" applyFont="1" applyFill="1" applyAlignment="1">
      <alignment horizontal="right"/>
    </xf>
    <xf numFmtId="15" fontId="39" fillId="0" borderId="0" xfId="0" applyNumberFormat="1" applyFont="1" applyAlignment="1">
      <alignment horizontal="left" vertical="top"/>
    </xf>
    <xf numFmtId="15" fontId="39" fillId="0" borderId="13" xfId="0" applyNumberFormat="1" applyFont="1" applyBorder="1" applyAlignment="1">
      <alignment horizontal="left" vertical="top"/>
    </xf>
    <xf numFmtId="3" fontId="39" fillId="0" borderId="13" xfId="0" applyNumberFormat="1" applyFont="1" applyBorder="1" applyAlignment="1">
      <alignment/>
    </xf>
    <xf numFmtId="3" fontId="39" fillId="33" borderId="0" xfId="0" applyNumberFormat="1" applyFont="1" applyFill="1" applyAlignment="1">
      <alignment/>
    </xf>
    <xf numFmtId="0" fontId="41" fillId="0" borderId="0" xfId="0" applyFont="1" applyAlignment="1">
      <alignment/>
    </xf>
    <xf numFmtId="0" fontId="42" fillId="0" borderId="0" xfId="0" applyFont="1" applyAlignment="1">
      <alignment/>
    </xf>
    <xf numFmtId="0" fontId="39" fillId="0" borderId="0" xfId="0" applyFont="1" applyAlignment="1">
      <alignment/>
    </xf>
    <xf numFmtId="15" fontId="39" fillId="0" borderId="0" xfId="0" applyNumberFormat="1" applyFont="1" applyBorder="1" applyAlignment="1">
      <alignment horizontal="left" vertical="top"/>
    </xf>
    <xf numFmtId="3" fontId="39" fillId="0" borderId="0" xfId="0" applyNumberFormat="1" applyFont="1" applyBorder="1" applyAlignment="1">
      <alignment/>
    </xf>
    <xf numFmtId="0" fontId="39" fillId="0" borderId="0" xfId="0" applyFont="1" applyBorder="1" applyAlignment="1">
      <alignment/>
    </xf>
    <xf numFmtId="0" fontId="39" fillId="0" borderId="0" xfId="0" applyFont="1" applyAlignment="1">
      <alignment/>
    </xf>
    <xf numFmtId="0" fontId="39" fillId="0" borderId="0" xfId="0" applyFont="1" applyAlignment="1">
      <alignment/>
    </xf>
    <xf numFmtId="10" fontId="39" fillId="0" borderId="0" xfId="0" applyNumberFormat="1" applyFont="1" applyAlignment="1">
      <alignment/>
    </xf>
    <xf numFmtId="0" fontId="0" fillId="0" borderId="0" xfId="0" applyAlignment="1">
      <alignment horizontal="right"/>
    </xf>
    <xf numFmtId="10" fontId="0" fillId="0" borderId="0" xfId="57" applyNumberFormat="1" applyFont="1" applyAlignment="1">
      <alignment/>
    </xf>
    <xf numFmtId="0" fontId="42" fillId="0" borderId="0" xfId="0" applyFont="1" applyAlignment="1">
      <alignment horizontal="left" wrapText="1"/>
    </xf>
    <xf numFmtId="0" fontId="40" fillId="0" borderId="0" xfId="0" applyFont="1" applyAlignment="1">
      <alignment/>
    </xf>
    <xf numFmtId="0" fontId="3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6"/>
  <sheetViews>
    <sheetView showGridLines="0" tabSelected="1" zoomScale="97" zoomScaleNormal="97" zoomScalePageLayoutView="0" workbookViewId="0" topLeftCell="A1">
      <selection activeCell="C7" sqref="C7"/>
    </sheetView>
  </sheetViews>
  <sheetFormatPr defaultColWidth="8.8515625" defaultRowHeight="15"/>
  <cols>
    <col min="1" max="1" width="2.57421875" style="1" bestFit="1" customWidth="1"/>
    <col min="2" max="2" width="18.140625" style="1" customWidth="1"/>
    <col min="3" max="3" width="15.57421875" style="1" customWidth="1"/>
    <col min="4" max="4" width="2.57421875" style="1" bestFit="1" customWidth="1"/>
    <col min="5" max="5" width="18.140625" style="1" customWidth="1"/>
    <col min="6" max="6" width="19.421875" style="1" customWidth="1"/>
    <col min="7" max="7" width="14.421875" style="1" customWidth="1"/>
    <col min="8" max="16384" width="8.8515625" style="1" customWidth="1"/>
  </cols>
  <sheetData>
    <row r="1" spans="1:4" ht="11.25">
      <c r="A1" s="1" t="s">
        <v>0</v>
      </c>
      <c r="D1" s="1" t="s">
        <v>0</v>
      </c>
    </row>
    <row r="2" spans="2:3" ht="11.25">
      <c r="B2" s="30" t="s">
        <v>1</v>
      </c>
      <c r="C2" s="30"/>
    </row>
    <row r="4" spans="2:9" ht="11.25">
      <c r="B4" s="2" t="s">
        <v>2</v>
      </c>
      <c r="C4" s="3">
        <v>3500000</v>
      </c>
      <c r="E4" s="31" t="s">
        <v>23</v>
      </c>
      <c r="F4" s="31"/>
      <c r="H4" s="4"/>
      <c r="I4" s="5"/>
    </row>
    <row r="5" spans="2:9" ht="11.25">
      <c r="B5" s="2" t="s">
        <v>3</v>
      </c>
      <c r="C5" s="6">
        <v>36</v>
      </c>
      <c r="E5" s="31" t="s">
        <v>22</v>
      </c>
      <c r="F5" s="31"/>
      <c r="H5" s="4"/>
      <c r="I5" s="5"/>
    </row>
    <row r="6" spans="2:9" s="25" customFormat="1" ht="11.25">
      <c r="B6" s="2" t="s">
        <v>26</v>
      </c>
      <c r="C6" s="6" t="s">
        <v>28</v>
      </c>
      <c r="E6" s="25" t="s">
        <v>29</v>
      </c>
      <c r="H6" s="4"/>
      <c r="I6" s="5"/>
    </row>
    <row r="7" spans="2:9" ht="11.25">
      <c r="B7" s="2" t="s">
        <v>4</v>
      </c>
      <c r="C7" s="7">
        <f ca="1">TODAY()</f>
        <v>44652</v>
      </c>
      <c r="E7" s="31" t="s">
        <v>5</v>
      </c>
      <c r="F7" s="31"/>
      <c r="H7" s="4"/>
      <c r="I7" s="5"/>
    </row>
    <row r="8" spans="2:9" ht="11.25">
      <c r="B8" s="2" t="s">
        <v>6</v>
      </c>
      <c r="C8" s="8" t="s">
        <v>7</v>
      </c>
      <c r="E8" s="31" t="s">
        <v>8</v>
      </c>
      <c r="F8" s="31"/>
      <c r="H8" s="4"/>
      <c r="I8" s="5"/>
    </row>
    <row r="9" spans="2:9" ht="11.25">
      <c r="B9" s="2" t="s">
        <v>9</v>
      </c>
      <c r="C9" s="9">
        <f>IF(C6="Regular",INDEX(Sheet2!$D$3:$E$8,MATCH(Calculator!C5,Sheet2!C3:C8,0),MATCH(Calculator!C8,Sheet2!D2:E2,0)),INDEX(Sheet2!$H$3:$I$8,MATCH(Calculator!C5,Sheet2!C3:C8,0),MATCH(Calculator!C8,Sheet2!D2:E2,0)))</f>
        <v>0.091</v>
      </c>
      <c r="E9" s="26"/>
      <c r="H9" s="4"/>
      <c r="I9" s="5"/>
    </row>
    <row r="10" spans="8:9" ht="11.25">
      <c r="H10" s="4"/>
      <c r="I10" s="5"/>
    </row>
    <row r="11" spans="2:7" s="10" customFormat="1" ht="11.25">
      <c r="B11" s="11" t="s">
        <v>10</v>
      </c>
      <c r="C11" s="12" t="s">
        <v>11</v>
      </c>
      <c r="E11" s="11" t="s">
        <v>12</v>
      </c>
      <c r="F11" s="12" t="s">
        <v>11</v>
      </c>
      <c r="G11" s="13" t="s">
        <v>13</v>
      </c>
    </row>
    <row r="12" spans="2:7" ht="11.25">
      <c r="B12" s="14">
        <f>$C$7</f>
        <v>44652</v>
      </c>
      <c r="C12" s="4">
        <f>-C4</f>
        <v>-3500000</v>
      </c>
      <c r="E12" s="14">
        <f>$C$7</f>
        <v>44652</v>
      </c>
      <c r="F12" s="4">
        <f>-C4</f>
        <v>-3500000</v>
      </c>
      <c r="G12" s="4">
        <f>-F12</f>
        <v>3500000</v>
      </c>
    </row>
    <row r="13" spans="2:7" ht="11.25">
      <c r="B13" s="14">
        <f>DATE(YEAR(B12),MONTH(B12)+1,0)</f>
        <v>44681</v>
      </c>
      <c r="C13" s="4">
        <f>-(C$12*(1+$C$9)^((B13-B12)/365)-C$12)</f>
        <v>24303.478247508872</v>
      </c>
      <c r="E13" s="14">
        <f>DATE(YEAR(E12),MONTH(E12)+1,0)</f>
        <v>44681</v>
      </c>
      <c r="F13" s="4">
        <f>IF((-(F$12*(1+$C$9)^((E13-E$12)/365)))&gt;5000000,IF(F12=0,-(F$12*(1+$C$9)^((E13-E$12)/365))-5000000,(5000000*(1+$C$9)^((E13-E12)/365))-5000000),0)</f>
        <v>0</v>
      </c>
      <c r="G13" s="4">
        <f>IF((-(F$12*(1+$C$9)^((E13-E$12)/365)))&gt;5000000,IF(F12=0,-(F$12*(1+$C$9)^((E13-E$12)/365)),(5000000*(1+$C$9)^((E13-E12)/365))),-(F$12*(1+$C$9)^((E13-E$12)/365)))-F13</f>
        <v>3524303.478247509</v>
      </c>
    </row>
    <row r="14" spans="2:7" ht="11.25">
      <c r="B14" s="14">
        <f>DATE(YEAR(B13),MONTH(B13)+2,0)</f>
        <v>44712</v>
      </c>
      <c r="C14" s="4">
        <f>-(C$12*(1+$C$9)^((B14-B13)/365)-C$12)</f>
        <v>25985.78746711882</v>
      </c>
      <c r="E14" s="14">
        <f>DATE(YEAR(E13),MONTH(E13)+2,0)</f>
        <v>44712</v>
      </c>
      <c r="F14" s="4">
        <f>IF((-(F$12*(1+$C$9)^((E14-E$12)/365)))&gt;5000000,IF(F13=0,-(F$12*(1+$C$9)^((E14-E$12)/365))-5000000,(5000000*(1+$C$9)^((E14-E13)/365))-5000000),0)</f>
        <v>0</v>
      </c>
      <c r="G14" s="4">
        <f>IF((-(F$12*(1+$C$9)^((E14-E$12)/365)))&gt;5000000,IF(F13=0,-(F$12*(1+$C$9)^((E14-E$12)/365)),(5000000*(1+$C$9)^((E14-E13)/365))),-(F$12*(1+$C$9)^((E14-E$12)/365)))-F14</f>
        <v>3550469.7071490427</v>
      </c>
    </row>
    <row r="15" spans="2:7" ht="11.25">
      <c r="B15" s="14">
        <f>DATE(YEAR(B14),MONTH(B14)+2,0)</f>
        <v>44742</v>
      </c>
      <c r="C15" s="4">
        <f>-(C$12*(1+$C$9)^((B15-B14)/365)-C$12)</f>
        <v>25144.53250099346</v>
      </c>
      <c r="E15" s="14">
        <f>DATE(YEAR(E14),MONTH(E14)+2,0)</f>
        <v>44742</v>
      </c>
      <c r="F15" s="4">
        <f>IF((-(F$12*(1+$C$9)^((E15-E$12)/365)))&gt;5000000,IF(F14=0,-(F$12*(1+$C$9)^((E15-E$12)/365))-5000000,(5000000*(1+$C$9)^((E15-E14)/365))-5000000),0)</f>
        <v>0</v>
      </c>
      <c r="G15" s="4">
        <f>IF((-(F$12*(1+$C$9)^((E15-E$12)/365)))&gt;5000000,IF(F14=0,-(F$12*(1+$C$9)^((E15-E$12)/365)),(5000000*(1+$C$9)^((E15-E14)/365))),-(F$12*(1+$C$9)^((E15-E$12)/365)))-F15</f>
        <v>3575976.821704814</v>
      </c>
    </row>
    <row r="16" spans="2:7" ht="11.25">
      <c r="B16" s="14">
        <f>IF($C$5=3,B$12+91,DATE(YEAR(B15),MONTH(B15)+2,0))</f>
        <v>44773</v>
      </c>
      <c r="C16" s="4">
        <f>IF(C$5=3,C$4+(C$4*(1+C$9)^(($B16-$B15)/365)-C$4),-(C$12*(1+$C$9)^((B16-B15)/365)-C$12))</f>
        <v>25985.78746711882</v>
      </c>
      <c r="E16" s="14">
        <f>IF($C$5=3,E$12+91,DATE(YEAR(E15),MONTH(E15)+2,0))</f>
        <v>44773</v>
      </c>
      <c r="F16" s="4">
        <f>IF(C$5=3,IF((-(F$12*(1+$C$9)^((E16-E$12)/365)))&gt;5000000,IF(F15=0,-(F$12*(1+$C$9)^((E16-E$12)/365)),(5000000*(1+$C$9)^((E16-E15)/365))),-(F$12*(1+$C$9)^((E16-E$12)/365))),IF((-(F$12*(1+$C$9)^((E16-E$12)/365)))&gt;5000000,IF(F15=0,-(F$12*(1+$C$9)^((E16-E$12)/365))-5000000,(5000000*(1+$C$9)^((E16-E15)/365))-5000000),0))</f>
        <v>0</v>
      </c>
      <c r="G16" s="4">
        <f>IF((-(F$12*(1+$C$9)^((E16-E$12)/365)))&gt;5000000,IF(F15=0,-(F$12*(1+$C$9)^((E16-E$12)/365)),(5000000*(1+$C$9)^((E16-E15)/365))),-(F$12*(1+$C$9)^((E16-E$12)/365)))-F16</f>
        <v>3602526.699898004</v>
      </c>
    </row>
    <row r="17" spans="2:7" ht="11.25">
      <c r="B17" s="14">
        <f>IF($C$5=3,"",DATE(YEAR(B16),MONTH(B16)+2,0))</f>
        <v>44804</v>
      </c>
      <c r="C17" s="4">
        <f>IF(C$5=3,"",-(C$12*(1+$C$9)^((B17-B16)/365)-C$12))</f>
        <v>25985.78746711882</v>
      </c>
      <c r="E17" s="14">
        <f>IF($C$5=3,"",DATE(YEAR(E16),MONTH(E16)+2,0))</f>
        <v>44804</v>
      </c>
      <c r="F17" s="4">
        <f>IF($C$5=3,"",IF((-(F$12*(1+$C$9)^((E17-E$12)/365)))&gt;5000000,IF(F16=0,-(F$12*(1+$C$9)^((E17-E$12)/365))-5000000,(5000000*(1+$C$9)^((E17-E16)/365))-5000000),0))</f>
        <v>0</v>
      </c>
      <c r="G17" s="4">
        <f>IF($C$5=3,"",IF((-(F$12*(1+$C$9)^((E17-E$12)/365)))&gt;5000000,IF(F16=0,-(F$12*(1+$C$9)^((E17-E$12)/365)),(5000000*(1+$C$9)^((E17-E16)/365))),-(F$12*(1+$C$9)^((E17-E$12)/365)))-F17)</f>
        <v>3629273.6979460535</v>
      </c>
    </row>
    <row r="18" spans="2:7" ht="11.25">
      <c r="B18" s="14">
        <f>IF($C$5=3,"",DATE(YEAR(B17),MONTH(B17)+2,0))</f>
        <v>44834</v>
      </c>
      <c r="C18" s="4">
        <f>IF(C$5=3,"",-(C$12*(1+$C$9)^((B18-B17)/365)-C$12))</f>
        <v>25144.53250099346</v>
      </c>
      <c r="E18" s="14">
        <f>IF($C$5=3,"",DATE(YEAR(E17),MONTH(E17)+2,0))</f>
        <v>44834</v>
      </c>
      <c r="F18" s="4">
        <f>IF($C$5=3,"",IF((-(F$12*(1+$C$9)^((E18-E$12)/365)))&gt;5000000,IF(F17=0,-(F$12*(1+$C$9)^((E18-E$12)/365))-5000000,(5000000*(1+$C$9)^((E18-E17)/365))-5000000),0))</f>
        <v>0</v>
      </c>
      <c r="G18" s="4">
        <f>IF($C$5=3,"",IF((-(F$12*(1+$C$9)^((E18-E$12)/365)))&gt;5000000,IF(F17=0,-(F$12*(1+$C$9)^((E18-E$12)/365)),(5000000*(1+$C$9)^((E18-E17)/365))),-(F$12*(1+$C$9)^((E18-E$12)/365)))-F18)</f>
        <v>3655346.952361197</v>
      </c>
    </row>
    <row r="19" spans="2:7" ht="11.25">
      <c r="B19" s="14">
        <f>IF($C$5=3,"",IF($C$5=6,B$12+183,DATE(YEAR(B18),MONTH(B18)+2,0)))</f>
        <v>44865</v>
      </c>
      <c r="C19" s="4">
        <f>IF(C$5=3,"",IF(C$5=6,C$4+(C$4*(1+C$9)^(($B19-$B18)/365)-C$4),-(C$12*(1+$C$9)^((B19-B18)/365)-C$12)))</f>
        <v>25985.78746711882</v>
      </c>
      <c r="E19" s="14">
        <f>IF($C$5=3,"",IF($C$5=6,E$12+183,DATE(YEAR(E18),MONTH(E18)+2,0)))</f>
        <v>44865</v>
      </c>
      <c r="F19" s="4">
        <f>IF($C$5=3,"",IF($C$5=6,IF((-(F$12*(1+$C$9)^((E19-E$12)/365)))&gt;5000000,IF(F18=0,-(F$12*(1+$C$9)^((E19-E$12)/365)),(5000000*(1+$C$9)^((E19-E18)/365))),-(F$12*(1+$C$9)^((E19-E$12)/365))),IF((-(F$12*(1+$C$9)^((E19-E$12)/365)))&gt;5000000,IF(F18=0,-(F$12*(1+$C$9)^((E19-E$12)/365))-5000000,(5000000*(1+$C$9)^((E19-E18)/365))-5000000),0)))</f>
        <v>0</v>
      </c>
      <c r="G19" s="4">
        <f>IF($C$5=3,"",IF((-(F$12*(1+$C$9)^((E19-E$12)/365)))&gt;5000000,IF(F18=0,-(F$12*(1+$C$9)^((E19-E$12)/365)),(5000000*(1+$C$9)^((E19-E18)/365))),-(F$12*(1+$C$9)^((E19-E$12)/365)))-F19)</f>
        <v>3682486.114939094</v>
      </c>
    </row>
    <row r="20" spans="2:7" ht="11.25">
      <c r="B20" s="14">
        <f>IF($C$5=3,"",IF($C$5=6,"",DATE(YEAR(B19),MONTH(B19)+2,0)))</f>
        <v>44895</v>
      </c>
      <c r="C20" s="4">
        <f>IF(C$5=3,"",IF($C$5=6,"",-(C$12*(1+$C$9)^((B20-B19)/365)-C$12)))</f>
        <v>25144.53250099346</v>
      </c>
      <c r="E20" s="14">
        <f>IF($C$5=3,"",IF($C$5=6,"",DATE(YEAR(E19),MONTH(E19)+2,0)))</f>
        <v>44895</v>
      </c>
      <c r="F20" s="4">
        <f>IF($C$5=3,"",IF($C$5=6,"",IF((-(F$12*(1+$C$9)^((E20-E$12)/365)))&gt;5000000,IF(F19=0,-(F$12*(1+$C$9)^((E20-E$12)/365))-5000000,(5000000*(1+$C$9)^((E20-E19)/365))-5000000),0)))</f>
        <v>0</v>
      </c>
      <c r="G20" s="4">
        <f aca="true" t="shared" si="0" ref="G20:G25">IF($C$5=3,"",IF($C$5=6,"",IF((-(F$12*(1+$C$9)^((E20-E$12)/365)))&gt;5000000,IF(F19=0,-(F$12*(1+$C$9)^((E20-E$12)/365)),(5000000*(1+$C$9)^((E20-E19)/365))),-(F$12*(1+$C$9)^((E20-E$12)/365)))-F20))</f>
        <v>3708941.6554538207</v>
      </c>
    </row>
    <row r="21" spans="2:7" ht="11.25">
      <c r="B21" s="14">
        <f>IF($C$5=3,"",IF($C$5=6,"",DATE(YEAR(B20),MONTH(B20)+2,0)))</f>
        <v>44926</v>
      </c>
      <c r="C21" s="4">
        <f>IF(C$5=3,"",IF($C$5=6,"",-(C$12*(1+$C$9)^((B21-B20)/365)-C$12)))</f>
        <v>25985.78746711882</v>
      </c>
      <c r="E21" s="14">
        <f>IF($C$5=3,"",IF($C$5=6,"",DATE(YEAR(E20),MONTH(E20)+2,0)))</f>
        <v>44926</v>
      </c>
      <c r="F21" s="4">
        <f>IF($C$5=3,"",IF($C$5=6,"",IF((-(F$12*(1+$C$9)^((E21-E$12)/365)))&gt;5000000,IF(F20=0,-(F$12*(1+$C$9)^((E21-E$12)/365))-5000000,(5000000*(1+$C$9)^((E21-E20)/365))-5000000),0)))</f>
        <v>0</v>
      </c>
      <c r="G21" s="4">
        <f t="shared" si="0"/>
        <v>3736478.7324785544</v>
      </c>
    </row>
    <row r="22" spans="2:7" ht="11.25">
      <c r="B22" s="14">
        <f>IF($C$5=3,"",IF($C$5=6,"",DATE(YEAR(B21),MONTH(B21)+2,0)))</f>
        <v>44957</v>
      </c>
      <c r="C22" s="4">
        <f>IF(C$5=3,"",IF($C$5=6,"",-(C$12*(1+$C$9)^((B22-B21)/365)-C$12)))</f>
        <v>25985.78746711882</v>
      </c>
      <c r="E22" s="14">
        <f>IF($C$5=3,"",IF($C$5=6,"",DATE(YEAR(E21),MONTH(E21)+2,0)))</f>
        <v>44957</v>
      </c>
      <c r="F22" s="4">
        <f>IF($C$5=3,"",IF($C$5=6,"",IF((-(F$12*(1+$C$9)^((E22-E$12)/365)))&gt;5000000,IF(F21=0,-(F$12*(1+$C$9)^((E22-E$12)/365))-5000000,(5000000*(1+$C$9)^((E22-E21)/365))-5000000),0)))</f>
        <v>0</v>
      </c>
      <c r="G22" s="4">
        <f t="shared" si="0"/>
        <v>3764220.258826439</v>
      </c>
    </row>
    <row r="23" spans="2:7" ht="11.25">
      <c r="B23" s="14">
        <f>IF($C$5=3,"",IF($C$5=6,"",DATE(YEAR(B22),MONTH(B22)+2,0)))</f>
        <v>44985</v>
      </c>
      <c r="C23" s="4">
        <f>IF(C$5=3,"",IF($C$5=6,"",-(C$12*(1+$C$9)^((B23-B22)/365)-C$12)))</f>
        <v>23462.624658776913</v>
      </c>
      <c r="E23" s="14">
        <f>IF($C$5=3,"",IF($C$5=6,"",DATE(YEAR(E22),MONTH(E22)+2,0)))</f>
        <v>44985</v>
      </c>
      <c r="F23" s="4">
        <f>IF($C$5=3,"",IF($C$5=6,"",IF((-(F$12*(1+$C$9)^((E23-E$12)/365)))&gt;5000000,IF(F22=0,-(F$12*(1+$C$9)^((E23-E$12)/365))-5000000,(5000000*(1+$C$9)^((E23-E22)/365))-5000000),0)))</f>
        <v>0</v>
      </c>
      <c r="G23" s="4">
        <f t="shared" si="0"/>
        <v>3789454.112273813</v>
      </c>
    </row>
    <row r="24" spans="2:7" ht="11.25">
      <c r="B24" s="14">
        <f>IF($C$5=3,"",IF($C$5=6,"",DATE(YEAR(B23),MONTH(B23)+2,0)))</f>
        <v>45016</v>
      </c>
      <c r="C24" s="4">
        <f>IF(C$5=3,"",IF($C$5=6,"",-(C$12*(1+$C$9)^((B24-B23)/365)-C$12)))</f>
        <v>25985.78746711882</v>
      </c>
      <c r="E24" s="14">
        <f>IF($C$5=3,"",IF($C$5=6,"",DATE(YEAR(E23),MONTH(E23)+2,0)))</f>
        <v>45016</v>
      </c>
      <c r="F24" s="4">
        <f>IF($C$5=3,"",IF($C$5=6,"",IF((-(F$12*(1+$C$9)^((E24-E$12)/365)))&gt;5000000,IF(F23=0,-(F$12*(1+$C$9)^((E24-E$12)/365))-5000000,(5000000*(1+$C$9)^((E24-E23)/365))-5000000),0)))</f>
        <v>0</v>
      </c>
      <c r="G24" s="4">
        <f t="shared" si="0"/>
        <v>3817588.954896084</v>
      </c>
    </row>
    <row r="25" spans="2:7" ht="11.25">
      <c r="B25" s="14">
        <f>IF($C$5=3,"",IF($C$5=6,"",IF($C$5=12,B$12+365,IF($C$5=0,B$12+365,DATE(YEAR(B24),MONTH(B24)+2,0)))))</f>
        <v>45046</v>
      </c>
      <c r="C25" s="4">
        <f>IF(C$5=3,"",IF(C$5=6,"",IF(C$5=12,C$4+(C$4*(1+C$9)^(($B25-$B24)/365)-C$4),IF(C$5=0,C$4+(C$4*(1+C$9)^(($B25-$B24)/365)-C$4),-(C$12*(1+$C$9)^((B25-B24)/365)-C$12)))))</f>
        <v>25144.53250099346</v>
      </c>
      <c r="E25" s="14">
        <f>IF($C$5=3,"",IF($C$5=6,"",IF($C$5=12,E$12+365,IF($C$5=0,E$12+365,DATE(YEAR(E24),MONTH(E24)+2,0)))))</f>
        <v>45046</v>
      </c>
      <c r="F25" s="4">
        <f>IF($C$5=3,"",IF($C$5=6,"",IF($C$5=12,IF((-(F$12*(1+$C$9)^((E25-E$12)/365)))&gt;5000000,IF(F24=0,-(F$12*(1+$C$9)^((E25-E$12)/365)),(5000000*(1+$C$9)^((E25-E24)/365))),-(F$12*(1+$C$9)^((E25-E$12)/365))),IF($C$5=0,IF((-(F$12*(1+$C$9)^((E25-E$12)/365)))&gt;5000000,IF(F24=0,-(F$12*(1+$C$9)^((E25-E$12)/365)),(5000000*(1+$C$9)^((E25-E24)/365))),-(F$12*(1+$C$9)^((E25-E$12)/365))),IF((-(F$12*(1+$C$9)^((E25-E$12)/365)))&gt;5000000,IF(F24=0,-(F$12*(1+$C$9)^((E25-E$12)/365))-5000000,(5000000*(1+$C$9)^((E25-E24)/365))-5000000),0)))))</f>
        <v>0</v>
      </c>
      <c r="G25" s="4">
        <f t="shared" si="0"/>
        <v>3845015.0947680315</v>
      </c>
    </row>
    <row r="26" spans="2:7" ht="11.25">
      <c r="B26" s="14">
        <f aca="true" t="shared" si="1" ref="B26:B35">IF($C$5=0,"",IF($C$5=3,"",IF($C$5=6,"",IF($C$5=12,"",DATE(YEAR(B25),MONTH(B25)+2,0)))))</f>
        <v>45077</v>
      </c>
      <c r="C26" s="4">
        <f aca="true" t="shared" si="2" ref="C26:C36">IF(C$5=0,"",IF(C$5=3,"",IF($C$5=6,"",IF($C$5=12,"",-(C$12*(1+$C$9)^((B26-B25)/365)-C$12)))))</f>
        <v>25985.78746711882</v>
      </c>
      <c r="E26" s="14">
        <f aca="true" t="shared" si="3" ref="E26:E35">IF($C$5=0,"",IF($C$5=3,"",IF($C$5=6,"",IF($C$5=12,"",DATE(YEAR(E25),MONTH(E25)+2,0)))))</f>
        <v>45077</v>
      </c>
      <c r="F26" s="4">
        <f aca="true" t="shared" si="4" ref="F26:F36">IF($C$5=0,"",IF($C$5=12,"",IF($C$5=3,"",IF($C$5=6,"",IF((-(F$12*(1+$C$9)^((E26-E$12)/365)))&gt;5000000,IF(F25=0,-(F$12*(1+$C$9)^((E26-E$12)/365))-5000000,(5000000*(1+$C$9)^((E26-E25)/365))-5000000),0)))))</f>
        <v>0</v>
      </c>
      <c r="G26" s="4">
        <f aca="true" t="shared" si="5" ref="G26:G37">IF($C$5=0,"",IF($C$5=12,"",IF($C$5=3,"",IF($C$5=6,"",IF((-(F$12*(1+$C$9)^((E26-E$12)/365)))&gt;5000000,IF(F25=0,-(F$12*(1+$C$9)^((E26-E$12)/365)),(5000000*(1+$C$9)^((E26-E25)/365))),-(F$12*(1+$C$9)^((E26-E$12)/365)))-F26))))</f>
        <v>3873562.4504996054</v>
      </c>
    </row>
    <row r="27" spans="2:7" ht="11.25">
      <c r="B27" s="14">
        <f t="shared" si="1"/>
        <v>45107</v>
      </c>
      <c r="C27" s="4">
        <f t="shared" si="2"/>
        <v>25144.53250099346</v>
      </c>
      <c r="E27" s="14">
        <f t="shared" si="3"/>
        <v>45107</v>
      </c>
      <c r="F27" s="4">
        <f t="shared" si="4"/>
        <v>0</v>
      </c>
      <c r="G27" s="4">
        <f t="shared" si="5"/>
        <v>3901390.7124799523</v>
      </c>
    </row>
    <row r="28" spans="2:7" ht="11.25">
      <c r="B28" s="14">
        <f t="shared" si="1"/>
        <v>45138</v>
      </c>
      <c r="C28" s="4">
        <f t="shared" si="2"/>
        <v>25985.78746711882</v>
      </c>
      <c r="E28" s="14">
        <f t="shared" si="3"/>
        <v>45138</v>
      </c>
      <c r="F28" s="4">
        <f t="shared" si="4"/>
        <v>0</v>
      </c>
      <c r="G28" s="4">
        <f t="shared" si="5"/>
        <v>3930356.6295887223</v>
      </c>
    </row>
    <row r="29" spans="2:7" ht="11.25">
      <c r="B29" s="14">
        <f t="shared" si="1"/>
        <v>45169</v>
      </c>
      <c r="C29" s="4">
        <f t="shared" si="2"/>
        <v>25985.78746711882</v>
      </c>
      <c r="E29" s="14">
        <f t="shared" si="3"/>
        <v>45169</v>
      </c>
      <c r="F29" s="4">
        <f t="shared" si="4"/>
        <v>0</v>
      </c>
      <c r="G29" s="4">
        <f t="shared" si="5"/>
        <v>3959537.6044591432</v>
      </c>
    </row>
    <row r="30" spans="2:7" ht="11.25">
      <c r="B30" s="14">
        <f t="shared" si="1"/>
        <v>45199</v>
      </c>
      <c r="C30" s="4">
        <f t="shared" si="2"/>
        <v>25144.53250099346</v>
      </c>
      <c r="E30" s="14">
        <f t="shared" si="3"/>
        <v>45199</v>
      </c>
      <c r="F30" s="4">
        <f t="shared" si="4"/>
        <v>0</v>
      </c>
      <c r="G30" s="4">
        <f t="shared" si="5"/>
        <v>3987983.525026066</v>
      </c>
    </row>
    <row r="31" spans="2:7" ht="11.25">
      <c r="B31" s="14">
        <f t="shared" si="1"/>
        <v>45230</v>
      </c>
      <c r="C31" s="4">
        <f t="shared" si="2"/>
        <v>25985.78746711882</v>
      </c>
      <c r="E31" s="14">
        <f t="shared" si="3"/>
        <v>45230</v>
      </c>
      <c r="F31" s="4">
        <f t="shared" si="4"/>
        <v>0</v>
      </c>
      <c r="G31" s="4">
        <f t="shared" si="5"/>
        <v>4017592.351398552</v>
      </c>
    </row>
    <row r="32" spans="2:7" ht="11.25">
      <c r="B32" s="14">
        <f t="shared" si="1"/>
        <v>45260</v>
      </c>
      <c r="C32" s="4">
        <f t="shared" si="2"/>
        <v>25144.53250099346</v>
      </c>
      <c r="E32" s="14">
        <f t="shared" si="3"/>
        <v>45260</v>
      </c>
      <c r="F32" s="4">
        <f t="shared" si="4"/>
        <v>0</v>
      </c>
      <c r="G32" s="4">
        <f t="shared" si="5"/>
        <v>4046455.3461001185</v>
      </c>
    </row>
    <row r="33" spans="2:7" ht="11.25">
      <c r="B33" s="14">
        <f t="shared" si="1"/>
        <v>45291</v>
      </c>
      <c r="C33" s="4">
        <f t="shared" si="2"/>
        <v>25985.78746711882</v>
      </c>
      <c r="E33" s="14">
        <f t="shared" si="3"/>
        <v>45291</v>
      </c>
      <c r="F33" s="4">
        <f t="shared" si="4"/>
        <v>0</v>
      </c>
      <c r="G33" s="4">
        <f t="shared" si="5"/>
        <v>4076498.297134103</v>
      </c>
    </row>
    <row r="34" spans="2:7" ht="11.25">
      <c r="B34" s="14">
        <f t="shared" si="1"/>
        <v>45322</v>
      </c>
      <c r="C34" s="4">
        <f t="shared" si="2"/>
        <v>25985.78746711882</v>
      </c>
      <c r="E34" s="14">
        <f t="shared" si="3"/>
        <v>45322</v>
      </c>
      <c r="F34" s="4">
        <f t="shared" si="4"/>
        <v>0</v>
      </c>
      <c r="G34" s="4">
        <f t="shared" si="5"/>
        <v>4106764.302379645</v>
      </c>
    </row>
    <row r="35" spans="2:7" ht="11.25">
      <c r="B35" s="14">
        <f t="shared" si="1"/>
        <v>45351</v>
      </c>
      <c r="C35" s="4">
        <f t="shared" si="2"/>
        <v>24303.478247508872</v>
      </c>
      <c r="E35" s="14">
        <f t="shared" si="3"/>
        <v>45351</v>
      </c>
      <c r="F35" s="4">
        <f t="shared" si="4"/>
        <v>0</v>
      </c>
      <c r="G35" s="4">
        <f t="shared" si="5"/>
        <v>4135281.061491225</v>
      </c>
    </row>
    <row r="36" spans="2:7" ht="11.25">
      <c r="B36" s="14">
        <f>IF($C$5=0,"",IF($C$5=3,"",IF($C$5=6,"",IF($C$5=12,"",DATE(YEAR(B35),MONTH(B35)+2,0)))))</f>
        <v>45382</v>
      </c>
      <c r="C36" s="4">
        <f t="shared" si="2"/>
        <v>25985.78746711882</v>
      </c>
      <c r="E36" s="14">
        <f>IF($C$5=0,"",IF($C$5=3,"",IF($C$5=6,"",IF($C$5=12,"",DATE(YEAR(E35),MONTH(E35)+2,0)))))</f>
        <v>45382</v>
      </c>
      <c r="F36" s="4">
        <f t="shared" si="4"/>
        <v>0</v>
      </c>
      <c r="G36" s="4">
        <f t="shared" si="5"/>
        <v>4165983.4999999995</v>
      </c>
    </row>
    <row r="37" spans="2:7" s="20" customFormat="1" ht="11.25">
      <c r="B37" s="21">
        <f>IF($C$5=0,"",IF($C$5=3,"",IF($C$5=6,"",IF($C$5=12,"",IF($C$5=24,B$12+365+365,DATE(YEAR(B36),MONTH(B36)+2,0))))))</f>
        <v>45412</v>
      </c>
      <c r="C37" s="22">
        <f>IF(C$5=0,"",IF(C$5=3,"",IF(C$5=6,"",IF(C$5=12,"",IF(C$5=24,C$4+(C$4*(1+C$9)^(($B37-$B36)/365)-C$4),-(C$12*(1+$C$9)^((B37-B36)/365)-C$12))))))</f>
        <v>25144.53250099346</v>
      </c>
      <c r="E37" s="14">
        <f>IF($C$5=0,"",IF($C$5=3,"",IF($C$5=6,"",IF($C$5=12,"",IF($C$5=24,E$12+365+365,DATE(YEAR(E36),MONTH(E36)+2,0))))))</f>
        <v>45412</v>
      </c>
      <c r="F37" s="22">
        <f>IF($C$5=0,"",IF($C$5=3,"",IF($C$5=6,"",IF($C$5=12,"",IF($C$5=24,IF((-(F$12*(1+$C$9)^((E37-E$12)/365)))&gt;5000000,IF(F36=0,-(F$12*(1+$C$9)^((E37-E$12)/365)),(5000000*(1+$C$9)^((E37-E36)/365))),-(F$12*(1+$C$9)^((E37-E$12)/365))),IF((-(F$12*(1+$C$9)^((E37-E$12)/365)))&gt;5000000,IF(F36=0,-(F$12*(1+$C$9)^((E37-E$12)/365))-5000000,(5000000*(1+$C$9)^((E37-E36)/365))-5000000),0))))))</f>
        <v>0</v>
      </c>
      <c r="G37" s="22">
        <f t="shared" si="5"/>
        <v>4195912.559289815</v>
      </c>
    </row>
    <row r="38" spans="2:7" s="20" customFormat="1" ht="11.25">
      <c r="B38" s="14">
        <f>IF($C$5=0,"",IF($C$5=3,"",IF($C$5=6,"",IF($C$5=12,"",IF($C$5=24,"",DATE(YEAR(B37),MONTH(B37)+2,0))))))</f>
        <v>45443</v>
      </c>
      <c r="C38" s="4">
        <f aca="true" t="shared" si="6" ref="C38:C48">IF(C$5=0,"",IF(C$5=3,"",IF($C$5=6,"",IF($C$5=12,"",IF($C$5=24,"",-(C$12*(1+$C$9)^((B38-B37)/365)-C$12))))))</f>
        <v>25985.78746711882</v>
      </c>
      <c r="E38" s="14">
        <f>IF($C$5=0,"",IF($C$5=3,"",IF($C$5=6,"",IF($C$5=12,"",IF($C$5=24,"",DATE(YEAR(E37),MONTH(E37)+2,0))))))</f>
        <v>45443</v>
      </c>
      <c r="F38" s="4">
        <f aca="true" t="shared" si="7" ref="F38:F48">IF($C$5=0,"",IF($C$5=12,"",IF($C$5=3,"",IF($C$5=6,"",IF($C$5=24,"",IF((-(F$12*(1+$C$9)^((E38-E$12)/365)))&gt;5000000,IF(F37=0,-(F$12*(1+$C$9)^((E38-E$12)/365))-5000000,(5000000*(1+$C$9)^((E38-E37)/365))-5000000),0))))))</f>
        <v>0</v>
      </c>
      <c r="G38" s="4">
        <f aca="true" t="shared" si="8" ref="G38:G49">IF($C$5=0,"",IF($C$5=12,"",IF($C$5=3,"",IF($C$5=6,"",IF($C$5=24,"",IF((-(F$12*(1+$C$9)^((E38-E$12)/365)))&gt;5000000,IF(F37=0,-(F$12*(1+$C$9)^((E38-E$12)/365)),(5000000*(1+$C$9)^((E38-E37)/365))),-(F$12*(1+$C$9)^((E38-E$12)/365)))-F38)))))</f>
        <v>4227065.157003049</v>
      </c>
    </row>
    <row r="39" spans="2:7" s="20" customFormat="1" ht="11.25">
      <c r="B39" s="14">
        <f aca="true" t="shared" si="9" ref="B39:B48">IF($C$5=0,"",IF($C$5=3,"",IF($C$5=6,"",IF($C$5=12,"",IF($C$5=24,"",DATE(YEAR(B38),MONTH(B38)+2,0))))))</f>
        <v>45473</v>
      </c>
      <c r="C39" s="4">
        <f t="shared" si="6"/>
        <v>25144.53250099346</v>
      </c>
      <c r="E39" s="14">
        <f aca="true" t="shared" si="10" ref="E39:E48">IF($C$5=0,"",IF($C$5=3,"",IF($C$5=6,"",IF($C$5=12,"",IF($C$5=24,"",DATE(YEAR(E38),MONTH(E38)+2,0))))))</f>
        <v>45473</v>
      </c>
      <c r="F39" s="4">
        <f t="shared" si="7"/>
        <v>0</v>
      </c>
      <c r="G39" s="4">
        <f t="shared" si="8"/>
        <v>4257433.03620993</v>
      </c>
    </row>
    <row r="40" spans="2:7" s="20" customFormat="1" ht="11.25">
      <c r="B40" s="14">
        <f t="shared" si="9"/>
        <v>45504</v>
      </c>
      <c r="C40" s="4">
        <f t="shared" si="6"/>
        <v>25985.78746711882</v>
      </c>
      <c r="E40" s="14">
        <f t="shared" si="10"/>
        <v>45504</v>
      </c>
      <c r="F40" s="4">
        <f t="shared" si="7"/>
        <v>0</v>
      </c>
      <c r="G40" s="4">
        <f t="shared" si="8"/>
        <v>4289042.393362626</v>
      </c>
    </row>
    <row r="41" spans="2:7" s="20" customFormat="1" ht="11.25">
      <c r="B41" s="14">
        <f t="shared" si="9"/>
        <v>45535</v>
      </c>
      <c r="C41" s="4">
        <f t="shared" si="6"/>
        <v>25985.78746711882</v>
      </c>
      <c r="E41" s="14">
        <f t="shared" si="10"/>
        <v>45535</v>
      </c>
      <c r="F41" s="4">
        <f t="shared" si="7"/>
        <v>0</v>
      </c>
      <c r="G41" s="4">
        <f t="shared" si="8"/>
        <v>4320886.43452588</v>
      </c>
    </row>
    <row r="42" spans="2:7" s="20" customFormat="1" ht="11.25">
      <c r="B42" s="14">
        <f t="shared" si="9"/>
        <v>45565</v>
      </c>
      <c r="C42" s="4">
        <f t="shared" si="6"/>
        <v>25144.53250099346</v>
      </c>
      <c r="E42" s="14">
        <f t="shared" si="10"/>
        <v>45565</v>
      </c>
      <c r="F42" s="4">
        <f t="shared" si="7"/>
        <v>0</v>
      </c>
      <c r="G42" s="4">
        <f t="shared" si="8"/>
        <v>4351928.340064747</v>
      </c>
    </row>
    <row r="43" spans="2:7" s="20" customFormat="1" ht="11.25">
      <c r="B43" s="14">
        <f t="shared" si="9"/>
        <v>45596</v>
      </c>
      <c r="C43" s="4">
        <f t="shared" si="6"/>
        <v>25985.78746711882</v>
      </c>
      <c r="E43" s="14">
        <f t="shared" si="10"/>
        <v>45596</v>
      </c>
      <c r="F43" s="4">
        <f t="shared" si="7"/>
        <v>0</v>
      </c>
      <c r="G43" s="4">
        <f t="shared" si="8"/>
        <v>4384239.278612478</v>
      </c>
    </row>
    <row r="44" spans="2:7" s="20" customFormat="1" ht="11.25">
      <c r="B44" s="14">
        <f t="shared" si="9"/>
        <v>45626</v>
      </c>
      <c r="C44" s="4">
        <f t="shared" si="6"/>
        <v>25144.53250099346</v>
      </c>
      <c r="E44" s="14">
        <f t="shared" si="10"/>
        <v>45626</v>
      </c>
      <c r="F44" s="4">
        <f t="shared" si="7"/>
        <v>0</v>
      </c>
      <c r="G44" s="4">
        <f t="shared" si="8"/>
        <v>4415736.320621964</v>
      </c>
    </row>
    <row r="45" spans="2:7" s="20" customFormat="1" ht="11.25">
      <c r="B45" s="14">
        <f t="shared" si="9"/>
        <v>45657</v>
      </c>
      <c r="C45" s="4">
        <f t="shared" si="6"/>
        <v>25985.78746711882</v>
      </c>
      <c r="E45" s="14">
        <f t="shared" si="10"/>
        <v>45657</v>
      </c>
      <c r="F45" s="4">
        <f t="shared" si="7"/>
        <v>0</v>
      </c>
      <c r="G45" s="4">
        <f t="shared" si="8"/>
        <v>4448521.002204399</v>
      </c>
    </row>
    <row r="46" spans="2:7" s="20" customFormat="1" ht="11.25">
      <c r="B46" s="14">
        <f t="shared" si="9"/>
        <v>45688</v>
      </c>
      <c r="C46" s="4">
        <f t="shared" si="6"/>
        <v>25985.78746711882</v>
      </c>
      <c r="E46" s="14">
        <f t="shared" si="10"/>
        <v>45688</v>
      </c>
      <c r="F46" s="4">
        <f t="shared" si="7"/>
        <v>0</v>
      </c>
      <c r="G46" s="4">
        <f t="shared" si="8"/>
        <v>4481549.0940061975</v>
      </c>
    </row>
    <row r="47" spans="2:7" s="20" customFormat="1" ht="11.25">
      <c r="B47" s="14">
        <f t="shared" si="9"/>
        <v>45716</v>
      </c>
      <c r="C47" s="4">
        <f t="shared" si="6"/>
        <v>23462.624658776913</v>
      </c>
      <c r="E47" s="14">
        <f t="shared" si="10"/>
        <v>45716</v>
      </c>
      <c r="F47" s="4">
        <f t="shared" si="7"/>
        <v>0</v>
      </c>
      <c r="G47" s="4">
        <f t="shared" si="8"/>
        <v>4511591.638086926</v>
      </c>
    </row>
    <row r="48" spans="2:7" s="20" customFormat="1" ht="11.25">
      <c r="B48" s="14">
        <f t="shared" si="9"/>
        <v>45747</v>
      </c>
      <c r="C48" s="4">
        <f t="shared" si="6"/>
        <v>25985.78746711882</v>
      </c>
      <c r="E48" s="14">
        <f t="shared" si="10"/>
        <v>45747</v>
      </c>
      <c r="F48" s="4">
        <f t="shared" si="7"/>
        <v>0</v>
      </c>
      <c r="G48" s="4">
        <f t="shared" si="8"/>
        <v>4545087.9985</v>
      </c>
    </row>
    <row r="49" spans="2:7" s="23" customFormat="1" ht="11.25">
      <c r="B49" s="15">
        <f>IF($C$5=0,"",IF($C$5=3,"",IF($C$5=6,"",IF($C$5=12,"",IF($C$5=24,"",B$12+365+365+366)))))</f>
        <v>45748</v>
      </c>
      <c r="C49" s="16">
        <f>IF(C$5=0,"",IF(C$5=3,"",IF($C$5=6,"",IF($C$5=12,"",IF($C$5=24,"",(C$4*(1+C$9)^(($B49-$B48)/365)))))))</f>
        <v>3500835.254371641</v>
      </c>
      <c r="E49" s="15">
        <f>IF($C$5=0,"",IF($C$5=3,"",IF($C$5=6,"",IF($C$5=12,"",IF($C$5=24,"",B$12+365+365+366)))))</f>
        <v>45748</v>
      </c>
      <c r="F49" s="16">
        <f>IF($C$5=0,"",IF($C$5=3,"",IF($C$5=6,"",IF($C$5=12,"",IF($C$5=24,"",IF($C$5=36,IF((-(F$12*(1+$C$9)^((E49-E$12)/365)))&gt;5000000,IF(F48=0,-(F$12*(1+$C$9)^((E49-E$12)/365)),(5000000*(1+$C$9)^((E49-E48)/365))),-(F$12*(1+$C$9)^((E49-E$12)/365))),IF((-(F$12*(1+$C$9)^((E49-E$12)/365)))&gt;5000000,IF(F48=0,-(F$12*(1+$C$9)^((E49-E$12)/365))-5000000,(5000000*(1+$C$9)^((E49-E48)/365))-5000000),0)))))))</f>
        <v>4546172.656962926</v>
      </c>
      <c r="G49" s="16">
        <f t="shared" si="8"/>
        <v>0</v>
      </c>
    </row>
    <row r="50" spans="2:7" s="20" customFormat="1" ht="11.25">
      <c r="B50" s="21"/>
      <c r="C50" s="22"/>
      <c r="E50" s="21"/>
      <c r="F50" s="22"/>
      <c r="G50" s="22"/>
    </row>
    <row r="51" spans="2:7" ht="11.25">
      <c r="B51" s="11" t="s">
        <v>14</v>
      </c>
      <c r="C51" s="17">
        <f>SUM(C12:C49)</f>
        <v>918658.854504636</v>
      </c>
      <c r="E51" s="11" t="s">
        <v>14</v>
      </c>
      <c r="F51" s="2"/>
      <c r="G51" s="17">
        <f>SUM(F12:F49)</f>
        <v>1046172.6569629256</v>
      </c>
    </row>
    <row r="52" spans="2:7" ht="11.25">
      <c r="B52" s="11" t="s">
        <v>15</v>
      </c>
      <c r="C52" s="9">
        <f>-C51/C$12</f>
        <v>0.262473958429896</v>
      </c>
      <c r="E52" s="11" t="s">
        <v>15</v>
      </c>
      <c r="F52" s="2"/>
      <c r="G52" s="9">
        <f>-G51/F$12</f>
        <v>0.2989064734179787</v>
      </c>
    </row>
    <row r="53" spans="2:7" ht="11.25">
      <c r="B53" s="11" t="s">
        <v>16</v>
      </c>
      <c r="C53" s="9">
        <f>IF($C$5=0,XIRR(C12:C25,B12:B25),IF($C$5=3,XIRR(C12:C16,B12:B16),IF($C$5=6,XIRR(C12:C19,B12:B19),IF($C$5=12,XIRR(C12:C25,B12:B25),IF($C$5=24,XIRR(C12:C37,B12:B37),XIRR(C12:C49,B12:B49))))))</f>
        <v>0.09099999964237215</v>
      </c>
      <c r="E53" s="11" t="s">
        <v>16</v>
      </c>
      <c r="F53" s="2"/>
      <c r="G53" s="9">
        <f>IF($C$5=0,XIRR(F12:F25,E12:E25),IF($C$5=3,XIRR(F12:F16,E12:E16),IF($C$5=6,XIRR(F12:F19,E12:E19),IF($C$5=12,XIRR(F12:F25,E12:E25),IF($C$5=24,XIRR(F12:F37,E12:E37),XIRR(F12:F49,E12:E49))))))</f>
        <v>0.09099999964237215</v>
      </c>
    </row>
    <row r="55" spans="2:7" ht="23.25" customHeight="1">
      <c r="B55" s="29" t="s">
        <v>17</v>
      </c>
      <c r="C55" s="29"/>
      <c r="D55" s="29"/>
      <c r="E55" s="29"/>
      <c r="F55" s="29"/>
      <c r="G55" s="29"/>
    </row>
    <row r="56" ht="11.25">
      <c r="B56" s="18" t="s">
        <v>18</v>
      </c>
    </row>
    <row r="57" spans="2:7" ht="11.25">
      <c r="B57" s="19" t="s">
        <v>19</v>
      </c>
      <c r="C57" s="24"/>
      <c r="D57" s="24"/>
      <c r="E57" s="24"/>
      <c r="F57" s="24"/>
      <c r="G57" s="24"/>
    </row>
    <row r="58" spans="2:7" ht="24" customHeight="1">
      <c r="B58" s="29" t="s">
        <v>20</v>
      </c>
      <c r="C58" s="29"/>
      <c r="D58" s="29"/>
      <c r="E58" s="29"/>
      <c r="F58" s="29"/>
      <c r="G58" s="29"/>
    </row>
    <row r="59" spans="2:7" ht="35.25" customHeight="1">
      <c r="B59" s="29" t="s">
        <v>25</v>
      </c>
      <c r="C59" s="29"/>
      <c r="D59" s="29"/>
      <c r="E59" s="29"/>
      <c r="F59" s="29"/>
      <c r="G59" s="29"/>
    </row>
    <row r="60" spans="2:7" ht="25.5" customHeight="1">
      <c r="B60" s="29" t="s">
        <v>24</v>
      </c>
      <c r="C60" s="29"/>
      <c r="D60" s="29"/>
      <c r="E60" s="29"/>
      <c r="F60" s="29"/>
      <c r="G60" s="29"/>
    </row>
    <row r="61" spans="2:7" ht="23.25" customHeight="1">
      <c r="B61" s="29" t="s">
        <v>21</v>
      </c>
      <c r="C61" s="29"/>
      <c r="D61" s="29"/>
      <c r="E61" s="29"/>
      <c r="F61" s="29"/>
      <c r="G61" s="29"/>
    </row>
    <row r="62" ht="11.25">
      <c r="B62" s="19"/>
    </row>
    <row r="64" ht="11.25">
      <c r="B64" s="19"/>
    </row>
    <row r="66" ht="11.25">
      <c r="B66" s="19"/>
    </row>
  </sheetData>
  <sheetProtection selectLockedCells="1" selectUnlockedCells="1"/>
  <mergeCells count="10">
    <mergeCell ref="B58:G58"/>
    <mergeCell ref="B59:G59"/>
    <mergeCell ref="B60:G60"/>
    <mergeCell ref="B61:G61"/>
    <mergeCell ref="B2:C2"/>
    <mergeCell ref="E4:F4"/>
    <mergeCell ref="E5:F5"/>
    <mergeCell ref="E7:F7"/>
    <mergeCell ref="E8:F8"/>
    <mergeCell ref="B55:G55"/>
  </mergeCells>
  <dataValidations count="3">
    <dataValidation type="whole" allowBlank="1" showInputMessage="1" showErrorMessage="1" errorTitle="Invalid Input" error="Please input investment value between 1 and 50L" sqref="C4">
      <formula1>1</formula1>
      <formula2>5000000</formula2>
    </dataValidation>
    <dataValidation type="list" allowBlank="1" showInputMessage="1" showErrorMessage="1" sqref="C8">
      <formula1>"Yes,No"</formula1>
    </dataValidation>
    <dataValidation type="list" allowBlank="1" showInputMessage="1" showErrorMessage="1" sqref="C5">
      <formula1>"0,3,6,12,24,36"</formula1>
    </dataValidation>
  </dataValidations>
  <printOptions/>
  <pageMargins left="0.7" right="0.7" top="0.75" bottom="0.75" header="0.3" footer="0.3"/>
  <pageSetup orientation="portrait" paperSize="9"/>
  <ignoredErrors>
    <ignoredError sqref="C7" unlockedFormula="1"/>
  </ignoredErrors>
</worksheet>
</file>

<file path=xl/worksheets/sheet2.xml><?xml version="1.0" encoding="utf-8"?>
<worksheet xmlns="http://schemas.openxmlformats.org/spreadsheetml/2006/main" xmlns:r="http://schemas.openxmlformats.org/officeDocument/2006/relationships">
  <dimension ref="C2:I8"/>
  <sheetViews>
    <sheetView zoomScalePageLayoutView="0" workbookViewId="0" topLeftCell="A1">
      <selection activeCell="H5" sqref="H5"/>
    </sheetView>
  </sheetViews>
  <sheetFormatPr defaultColWidth="9.140625" defaultRowHeight="15"/>
  <sheetData>
    <row r="2" spans="4:9" ht="14.25">
      <c r="D2" s="27" t="s">
        <v>7</v>
      </c>
      <c r="E2" s="27" t="s">
        <v>30</v>
      </c>
      <c r="F2" s="27"/>
      <c r="G2" s="27"/>
      <c r="H2" s="27" t="s">
        <v>7</v>
      </c>
      <c r="I2" s="27" t="s">
        <v>30</v>
      </c>
    </row>
    <row r="3" spans="3:5" ht="14.25">
      <c r="C3">
        <v>0</v>
      </c>
      <c r="D3" s="28">
        <v>0.08</v>
      </c>
      <c r="E3" s="28">
        <v>0.0815</v>
      </c>
    </row>
    <row r="4" spans="3:5" ht="14.25">
      <c r="C4">
        <v>3</v>
      </c>
      <c r="D4" s="28">
        <v>0.086</v>
      </c>
      <c r="E4" s="28">
        <v>0.087</v>
      </c>
    </row>
    <row r="5" spans="3:5" ht="14.25">
      <c r="C5">
        <v>6</v>
      </c>
      <c r="D5" s="28">
        <v>0.09</v>
      </c>
      <c r="E5" s="28">
        <v>0.091</v>
      </c>
    </row>
    <row r="6" spans="3:9" ht="14.25">
      <c r="C6">
        <v>12</v>
      </c>
      <c r="D6" s="28">
        <v>0.0925</v>
      </c>
      <c r="E6" s="28">
        <v>0.0935</v>
      </c>
      <c r="H6" s="28">
        <v>0.0875</v>
      </c>
      <c r="I6" s="28">
        <v>0.088</v>
      </c>
    </row>
    <row r="7" spans="3:9" ht="14.25">
      <c r="C7">
        <v>24</v>
      </c>
      <c r="D7" s="28">
        <v>0.0935</v>
      </c>
      <c r="E7" s="28">
        <v>0.094</v>
      </c>
      <c r="H7" s="28">
        <v>0.09</v>
      </c>
      <c r="I7" s="28">
        <v>0.0905</v>
      </c>
    </row>
    <row r="8" spans="3:9" ht="14.25">
      <c r="C8">
        <v>36</v>
      </c>
      <c r="D8" s="28">
        <v>0.091</v>
      </c>
      <c r="E8" s="28">
        <v>0.0915</v>
      </c>
      <c r="H8" s="28">
        <v>0.09</v>
      </c>
      <c r="I8" s="28">
        <v>0.0905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H5"/>
  <sheetViews>
    <sheetView zoomScalePageLayoutView="0" workbookViewId="0" topLeftCell="A1">
      <selection activeCell="H5" sqref="H5"/>
    </sheetView>
  </sheetViews>
  <sheetFormatPr defaultColWidth="9.140625" defaultRowHeight="15"/>
  <sheetData>
    <row r="3" spans="3:8" ht="14.25">
      <c r="C3">
        <v>0</v>
      </c>
      <c r="D3">
        <v>3</v>
      </c>
      <c r="E3">
        <v>6</v>
      </c>
      <c r="F3">
        <v>12</v>
      </c>
      <c r="G3">
        <v>24</v>
      </c>
      <c r="H3">
        <v>36</v>
      </c>
    </row>
    <row r="4" spans="3:8" ht="14.25">
      <c r="C4" s="27" t="s">
        <v>28</v>
      </c>
      <c r="D4" s="27" t="s">
        <v>28</v>
      </c>
      <c r="E4" s="27" t="s">
        <v>28</v>
      </c>
      <c r="F4" s="27" t="s">
        <v>28</v>
      </c>
      <c r="G4" s="27" t="s">
        <v>28</v>
      </c>
      <c r="H4" s="27" t="s">
        <v>28</v>
      </c>
    </row>
    <row r="5" spans="6:8" ht="14.25">
      <c r="F5" s="27" t="s">
        <v>27</v>
      </c>
      <c r="G5" s="27" t="s">
        <v>27</v>
      </c>
      <c r="H5" s="27"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Divya Mehta</dc:creator>
  <cp:keywords/>
  <dc:description/>
  <cp:lastModifiedBy>Divya Mehta</cp:lastModifiedBy>
  <dcterms:created xsi:type="dcterms:W3CDTF">2021-04-08T08:54:20Z</dcterms:created>
  <dcterms:modified xsi:type="dcterms:W3CDTF">2022-04-01T07:43:09Z</dcterms:modified>
  <cp:category/>
  <cp:version/>
  <cp:contentType/>
  <cp:contentStatus/>
</cp:coreProperties>
</file>